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40"/>
  </bookViews>
  <sheets>
    <sheet name="2018年度补助" sheetId="4" r:id="rId1"/>
    <sheet name="2019年度预补助" sheetId="5" r:id="rId2"/>
  </sheets>
  <calcPr calcId="144525" concurrentCalc="0"/>
</workbook>
</file>

<file path=xl/sharedStrings.xml><?xml version="1.0" encoding="utf-8"?>
<sst xmlns="http://schemas.openxmlformats.org/spreadsheetml/2006/main" count="81" uniqueCount="63">
  <si>
    <t>附表一</t>
  </si>
  <si>
    <t>罗源县企业研发经费投入2018年度补助汇总表</t>
  </si>
  <si>
    <t>盖章：罗源县发展和改革局                             罗源县财政局</t>
  </si>
  <si>
    <t>单位：万元</t>
  </si>
  <si>
    <t>序号</t>
  </si>
  <si>
    <t>企业名称</t>
  </si>
  <si>
    <t>组织机构代码证</t>
  </si>
  <si>
    <t>2018年</t>
  </si>
  <si>
    <t>2017年</t>
  </si>
  <si>
    <t>研发费用增长额</t>
  </si>
  <si>
    <t>基础补助</t>
  </si>
  <si>
    <t>增长额补助</t>
  </si>
  <si>
    <t>高研发投入奖励最大补助金额</t>
  </si>
  <si>
    <t>高研发投入奖励补助金额</t>
  </si>
  <si>
    <t>企业申请补助金额</t>
  </si>
  <si>
    <t>审计核减金额
(第三方审核)</t>
  </si>
  <si>
    <t>审核数</t>
  </si>
  <si>
    <t>备注</t>
  </si>
  <si>
    <t>研发经费支出</t>
  </si>
  <si>
    <t xml:space="preserve">委托外单位开展研发的经费支出 </t>
  </si>
  <si>
    <t xml:space="preserve">使用来自政府部门的研发资金 </t>
  </si>
  <si>
    <t>扣除后合计</t>
  </si>
  <si>
    <t>研发经费      支出</t>
  </si>
  <si>
    <t>2018年产值（主营业务收入）</t>
  </si>
  <si>
    <t>税收</t>
  </si>
  <si>
    <t>研发费用占收入比</t>
  </si>
  <si>
    <t>最大补助金额</t>
  </si>
  <si>
    <t>核定拟补助金额</t>
  </si>
  <si>
    <t>已获预补助金额</t>
  </si>
  <si>
    <t>未发补助金额</t>
  </si>
  <si>
    <t>福建中网电气有限公司</t>
  </si>
  <si>
    <t>91350123315537080X</t>
  </si>
  <si>
    <t>福建罗源闽光钢铁有限责任公司</t>
  </si>
  <si>
    <t>913501233107158374</t>
  </si>
  <si>
    <t>研发支出最终转入了生产成本科目,成本化而非费用化</t>
  </si>
  <si>
    <t>侨源气体（福州）有限公司</t>
  </si>
  <si>
    <t>91350123572974513G</t>
  </si>
  <si>
    <t>福建榕工环保机械股份有限公司</t>
  </si>
  <si>
    <t>91350123MA2XQ2WW3K</t>
  </si>
  <si>
    <t>福建华东船厂有限公司</t>
  </si>
  <si>
    <t>913501237753549209</t>
  </si>
  <si>
    <t>福建空分气体有限公司</t>
  </si>
  <si>
    <t>91350123796053211Y</t>
  </si>
  <si>
    <t>福建金闽再造烟叶发展有限公司</t>
  </si>
  <si>
    <t>9135012374637771XU</t>
  </si>
  <si>
    <t>福建德胜新建材有限公司</t>
  </si>
  <si>
    <t>913501233995790173</t>
  </si>
  <si>
    <t>研发过程中形成产品的成本为509.41万元应从研发费用中剔除</t>
  </si>
  <si>
    <t>福建源鑫环保科技有限公司</t>
  </si>
  <si>
    <t>91350123583133277F</t>
  </si>
  <si>
    <t>宝钢德盛不锈钢有限公司</t>
  </si>
  <si>
    <t>913501237821676138</t>
  </si>
  <si>
    <t>研发产品销售收入3,297.14万元未冲减研发费用</t>
  </si>
  <si>
    <t>福建源鑫建材有限公司</t>
  </si>
  <si>
    <t>913501237573902828</t>
  </si>
  <si>
    <t>合计</t>
  </si>
  <si>
    <t>罗源县企业研发经费投入2019年度预补助汇总表</t>
  </si>
  <si>
    <t>2019年</t>
  </si>
  <si>
    <t>可申请最大预补助金额</t>
  </si>
  <si>
    <t>企业申请预补助金额</t>
  </si>
  <si>
    <t>审计核减金额（第三方审核）</t>
  </si>
  <si>
    <t>核定拟预补助金额</t>
  </si>
  <si>
    <t>当年已发生的企业研发经费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</si>
</sst>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22" fillId="25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56" applyFont="1">
      <alignment vertical="center"/>
    </xf>
    <xf numFmtId="0" fontId="0" fillId="0" borderId="0" xfId="56">
      <alignment vertical="center"/>
    </xf>
    <xf numFmtId="0" fontId="2" fillId="0" borderId="0" xfId="56" applyFont="1" applyAlignment="1">
      <alignment horizontal="center" vertical="center"/>
    </xf>
    <xf numFmtId="0" fontId="3" fillId="0" borderId="1" xfId="56" applyFont="1" applyBorder="1" applyAlignment="1">
      <alignment horizontal="center" vertical="center"/>
    </xf>
    <xf numFmtId="0" fontId="3" fillId="0" borderId="2" xfId="56" applyFont="1" applyBorder="1" applyAlignment="1">
      <alignment horizontal="center" vertical="center"/>
    </xf>
    <xf numFmtId="0" fontId="3" fillId="0" borderId="3" xfId="56" applyFont="1" applyBorder="1" applyAlignment="1">
      <alignment horizontal="center" vertical="center"/>
    </xf>
    <xf numFmtId="0" fontId="3" fillId="0" borderId="4" xfId="56" applyFont="1" applyBorder="1" applyAlignment="1">
      <alignment horizontal="center" vertical="center"/>
    </xf>
    <xf numFmtId="0" fontId="3" fillId="0" borderId="5" xfId="56" applyFont="1" applyBorder="1" applyAlignment="1">
      <alignment horizontal="center" vertical="center"/>
    </xf>
    <xf numFmtId="0" fontId="3" fillId="0" borderId="6" xfId="56" applyFont="1" applyBorder="1" applyAlignment="1">
      <alignment horizontal="center" vertical="center"/>
    </xf>
    <xf numFmtId="0" fontId="3" fillId="0" borderId="1" xfId="56" applyFont="1" applyBorder="1" applyAlignment="1">
      <alignment horizontal="center" vertical="center" wrapText="1"/>
    </xf>
    <xf numFmtId="0" fontId="3" fillId="2" borderId="1" xfId="56" applyFont="1" applyFill="1" applyBorder="1" applyAlignment="1">
      <alignment horizontal="center" vertical="center"/>
    </xf>
    <xf numFmtId="0" fontId="4" fillId="0" borderId="1" xfId="56" applyFont="1" applyBorder="1" applyAlignment="1">
      <alignment horizontal="center" vertical="center"/>
    </xf>
    <xf numFmtId="0" fontId="4" fillId="0" borderId="1" xfId="56" applyFont="1" applyBorder="1">
      <alignment vertical="center"/>
    </xf>
    <xf numFmtId="49" fontId="4" fillId="0" borderId="1" xfId="59" applyNumberFormat="1" applyFont="1" applyBorder="1">
      <alignment vertical="center"/>
    </xf>
    <xf numFmtId="43" fontId="5" fillId="0" borderId="1" xfId="56" applyNumberFormat="1" applyFont="1" applyBorder="1">
      <alignment vertical="center"/>
    </xf>
    <xf numFmtId="43" fontId="5" fillId="0" borderId="1" xfId="56" applyNumberFormat="1" applyFont="1" applyFill="1" applyBorder="1">
      <alignment vertical="center"/>
    </xf>
    <xf numFmtId="0" fontId="1" fillId="0" borderId="7" xfId="56" applyFont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0" fontId="3" fillId="0" borderId="6" xfId="56" applyFont="1" applyFill="1" applyBorder="1" applyAlignment="1">
      <alignment horizontal="center" vertical="center" wrapText="1"/>
    </xf>
    <xf numFmtId="0" fontId="4" fillId="0" borderId="1" xfId="56" applyFont="1" applyBorder="1" applyAlignment="1">
      <alignment vertical="center" wrapText="1"/>
    </xf>
    <xf numFmtId="0" fontId="4" fillId="0" borderId="1" xfId="56" applyFont="1" applyBorder="1" applyAlignment="1">
      <alignment vertical="center"/>
    </xf>
    <xf numFmtId="176" fontId="0" fillId="0" borderId="0" xfId="56" applyNumberFormat="1">
      <alignment vertical="center"/>
    </xf>
    <xf numFmtId="176" fontId="0" fillId="0" borderId="0" xfId="56" applyNumberFormat="1" applyFill="1">
      <alignment vertical="center"/>
    </xf>
    <xf numFmtId="0" fontId="0" fillId="0" borderId="0" xfId="56" applyFill="1">
      <alignment vertical="center"/>
    </xf>
    <xf numFmtId="0" fontId="0" fillId="0" borderId="0" xfId="56" applyAlignment="1">
      <alignment horizontal="center" vertical="center"/>
    </xf>
    <xf numFmtId="10" fontId="0" fillId="0" borderId="0" xfId="56" applyNumberFormat="1">
      <alignment vertical="center"/>
    </xf>
    <xf numFmtId="0" fontId="0" fillId="0" borderId="0" xfId="56" applyAlignment="1">
      <alignment horizontal="left" vertical="center"/>
    </xf>
    <xf numFmtId="0" fontId="6" fillId="0" borderId="0" xfId="56" applyFont="1" applyAlignment="1">
      <alignment horizontal="center" vertical="center"/>
    </xf>
    <xf numFmtId="0" fontId="1" fillId="0" borderId="7" xfId="56" applyFont="1" applyBorder="1" applyAlignment="1">
      <alignment horizontal="left" vertical="center"/>
    </xf>
    <xf numFmtId="176" fontId="3" fillId="0" borderId="1" xfId="56" applyNumberFormat="1" applyFont="1" applyFill="1" applyBorder="1" applyAlignment="1">
      <alignment horizontal="center" vertical="center"/>
    </xf>
    <xf numFmtId="176" fontId="3" fillId="0" borderId="1" xfId="56" applyNumberFormat="1" applyFont="1" applyFill="1" applyBorder="1" applyAlignment="1">
      <alignment horizontal="center" vertical="center" wrapText="1"/>
    </xf>
    <xf numFmtId="0" fontId="7" fillId="0" borderId="1" xfId="56" applyNumberFormat="1" applyFont="1" applyBorder="1" applyAlignment="1">
      <alignment horizontal="center" vertical="center"/>
    </xf>
    <xf numFmtId="176" fontId="4" fillId="0" borderId="1" xfId="59" applyNumberFormat="1" applyFont="1" applyBorder="1" applyAlignment="1">
      <alignment vertical="center" shrinkToFit="1"/>
    </xf>
    <xf numFmtId="43" fontId="5" fillId="0" borderId="1" xfId="59" applyNumberFormat="1" applyFont="1" applyBorder="1" applyAlignment="1">
      <alignment vertical="center" shrinkToFit="1"/>
    </xf>
    <xf numFmtId="43" fontId="5" fillId="0" borderId="1" xfId="56" applyNumberFormat="1" applyFont="1" applyBorder="1" applyAlignment="1">
      <alignment vertical="center" shrinkToFit="1"/>
    </xf>
    <xf numFmtId="43" fontId="5" fillId="0" borderId="1" xfId="56" applyNumberFormat="1" applyFont="1" applyFill="1" applyBorder="1" applyAlignment="1">
      <alignment vertical="center" shrinkToFit="1"/>
    </xf>
    <xf numFmtId="176" fontId="4" fillId="0" borderId="1" xfId="56" applyNumberFormat="1" applyFont="1" applyBorder="1" applyAlignment="1">
      <alignment vertical="center" shrinkToFit="1"/>
    </xf>
    <xf numFmtId="0" fontId="7" fillId="0" borderId="1" xfId="56" applyNumberFormat="1" applyFont="1" applyFill="1" applyBorder="1" applyAlignment="1">
      <alignment horizontal="center" vertical="center"/>
    </xf>
    <xf numFmtId="176" fontId="4" fillId="0" borderId="1" xfId="56" applyNumberFormat="1" applyFont="1" applyFill="1" applyBorder="1" applyAlignment="1">
      <alignment vertical="center" shrinkToFit="1"/>
    </xf>
    <xf numFmtId="49" fontId="4" fillId="0" borderId="1" xfId="59" applyNumberFormat="1" applyFont="1" applyBorder="1" applyAlignment="1">
      <alignment vertical="center" shrinkToFit="1"/>
    </xf>
    <xf numFmtId="0" fontId="0" fillId="0" borderId="1" xfId="56" applyFill="1" applyBorder="1" applyAlignment="1">
      <alignment horizontal="center" vertical="center"/>
    </xf>
    <xf numFmtId="0" fontId="0" fillId="0" borderId="0" xfId="56" applyFill="1" applyAlignment="1">
      <alignment horizontal="center" vertical="center"/>
    </xf>
    <xf numFmtId="176" fontId="8" fillId="0" borderId="7" xfId="56" applyNumberFormat="1" applyFont="1" applyBorder="1" applyAlignment="1">
      <alignment horizontal="center" vertical="center"/>
    </xf>
    <xf numFmtId="10" fontId="3" fillId="0" borderId="1" xfId="56" applyNumberFormat="1" applyFont="1" applyFill="1" applyBorder="1" applyAlignment="1">
      <alignment horizontal="center" vertical="center" wrapText="1"/>
    </xf>
    <xf numFmtId="177" fontId="3" fillId="0" borderId="1" xfId="56" applyNumberFormat="1" applyFont="1" applyFill="1" applyBorder="1" applyAlignment="1">
      <alignment horizontal="center" vertical="center" wrapText="1"/>
    </xf>
    <xf numFmtId="43" fontId="5" fillId="0" borderId="1" xfId="60" applyNumberFormat="1" applyFont="1" applyBorder="1" applyAlignment="1">
      <alignment vertical="center" shrinkToFit="1"/>
    </xf>
    <xf numFmtId="10" fontId="0" fillId="0" borderId="0" xfId="56" applyNumberFormat="1" applyFill="1">
      <alignment vertical="center"/>
    </xf>
    <xf numFmtId="176" fontId="9" fillId="0" borderId="1" xfId="56" applyNumberFormat="1" applyFont="1" applyBorder="1" applyAlignment="1">
      <alignment vertical="center" shrinkToFit="1"/>
    </xf>
    <xf numFmtId="176" fontId="10" fillId="0" borderId="1" xfId="56" applyNumberFormat="1" applyFont="1" applyBorder="1" applyAlignment="1">
      <alignment vertical="center" wrapText="1" shrinkToFit="1"/>
    </xf>
    <xf numFmtId="176" fontId="9" fillId="0" borderId="1" xfId="56" applyNumberFormat="1" applyFont="1" applyFill="1" applyBorder="1" applyAlignment="1">
      <alignment vertical="center" shrinkToFit="1"/>
    </xf>
    <xf numFmtId="0" fontId="0" fillId="0" borderId="1" xfId="56" applyFill="1" applyBorder="1" applyAlignment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 2 4" xfId="57"/>
    <cellStyle name="常规 2 6" xfId="58"/>
    <cellStyle name="常规 2 7" xfId="59"/>
    <cellStyle name="常规 3" xfId="60"/>
    <cellStyle name="超链接 2" xfId="61"/>
    <cellStyle name="样式 1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pane xSplit="2" ySplit="5" topLeftCell="C6" activePane="bottomRight" state="frozenSplit"/>
      <selection/>
      <selection pane="topRight"/>
      <selection pane="bottomLeft"/>
      <selection pane="bottomRight" activeCell="A2" sqref="A2:Y2"/>
    </sheetView>
  </sheetViews>
  <sheetFormatPr defaultColWidth="9" defaultRowHeight="13.5"/>
  <cols>
    <col min="1" max="1" width="3.875" style="28" customWidth="1"/>
    <col min="2" max="2" width="25" style="2" customWidth="1"/>
    <col min="3" max="3" width="16" style="2" customWidth="1"/>
    <col min="4" max="4" width="7.375" style="25" customWidth="1"/>
    <col min="5" max="5" width="7" style="25" customWidth="1"/>
    <col min="6" max="6" width="8.25" style="25" customWidth="1"/>
    <col min="7" max="7" width="10.5" style="25" hidden="1" customWidth="1"/>
    <col min="8" max="8" width="8.375" style="25" customWidth="1"/>
    <col min="9" max="9" width="6.75" style="25" customWidth="1"/>
    <col min="10" max="10" width="8.625" style="25" customWidth="1"/>
    <col min="11" max="11" width="11.75" style="25" hidden="1" customWidth="1"/>
    <col min="12" max="12" width="11.375" style="2" hidden="1" customWidth="1"/>
    <col min="13" max="13" width="8.875" style="25" hidden="1" customWidth="1"/>
    <col min="14" max="14" width="10" style="25" hidden="1" customWidth="1"/>
    <col min="15" max="15" width="9.625" style="25" hidden="1" customWidth="1"/>
    <col min="16" max="16" width="7.25" style="25" hidden="1" customWidth="1"/>
    <col min="17" max="17" width="8.625" style="29" hidden="1" customWidth="1"/>
    <col min="18" max="18" width="10.5" style="25" hidden="1" customWidth="1"/>
    <col min="19" max="19" width="7.25" style="25" customWidth="1"/>
    <col min="20" max="20" width="7.375" style="25" customWidth="1"/>
    <col min="21" max="21" width="7.875" style="25" customWidth="1"/>
    <col min="22" max="22" width="8.625" style="25" customWidth="1"/>
    <col min="23" max="23" width="8.875" style="25" customWidth="1"/>
    <col min="24" max="24" width="9" style="25" customWidth="1"/>
    <col min="25" max="25" width="27.25" style="25" customWidth="1"/>
    <col min="26" max="16384" width="9" style="2"/>
  </cols>
  <sheetData>
    <row r="1" spans="1:2">
      <c r="A1" s="30" t="s">
        <v>0</v>
      </c>
      <c r="B1" s="30"/>
    </row>
    <row r="2" ht="39" customHeight="1" spans="1: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ht="18.75" spans="1: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6" t="s">
        <v>3</v>
      </c>
      <c r="Y3" s="46"/>
    </row>
    <row r="4" ht="33" customHeight="1" spans="1:25">
      <c r="A4" s="10" t="s">
        <v>4</v>
      </c>
      <c r="B4" s="4" t="s">
        <v>5</v>
      </c>
      <c r="C4" s="4" t="s">
        <v>6</v>
      </c>
      <c r="D4" s="33" t="s">
        <v>7</v>
      </c>
      <c r="E4" s="33"/>
      <c r="F4" s="33"/>
      <c r="G4" s="33"/>
      <c r="H4" s="33" t="s">
        <v>8</v>
      </c>
      <c r="I4" s="33"/>
      <c r="J4" s="33"/>
      <c r="K4" s="33"/>
      <c r="L4" s="19" t="s">
        <v>9</v>
      </c>
      <c r="M4" s="33" t="s">
        <v>10</v>
      </c>
      <c r="N4" s="33" t="s">
        <v>11</v>
      </c>
      <c r="O4" s="34" t="s">
        <v>12</v>
      </c>
      <c r="P4" s="34"/>
      <c r="Q4" s="47"/>
      <c r="R4" s="34"/>
      <c r="S4" s="34" t="s">
        <v>13</v>
      </c>
      <c r="T4" s="48" t="s">
        <v>14</v>
      </c>
      <c r="U4" s="48" t="s">
        <v>15</v>
      </c>
      <c r="V4" s="48" t="s">
        <v>16</v>
      </c>
      <c r="W4" s="48"/>
      <c r="X4" s="48"/>
      <c r="Y4" s="48" t="s">
        <v>17</v>
      </c>
    </row>
    <row r="5" ht="78.6" customHeight="1" spans="1:25">
      <c r="A5" s="10"/>
      <c r="B5" s="4"/>
      <c r="C5" s="4"/>
      <c r="D5" s="34" t="s">
        <v>18</v>
      </c>
      <c r="E5" s="34" t="s">
        <v>19</v>
      </c>
      <c r="F5" s="34" t="s">
        <v>20</v>
      </c>
      <c r="G5" s="33" t="s">
        <v>21</v>
      </c>
      <c r="H5" s="34" t="s">
        <v>22</v>
      </c>
      <c r="I5" s="34" t="s">
        <v>19</v>
      </c>
      <c r="J5" s="34" t="s">
        <v>20</v>
      </c>
      <c r="K5" s="33" t="s">
        <v>21</v>
      </c>
      <c r="L5" s="19"/>
      <c r="M5" s="33"/>
      <c r="N5" s="33"/>
      <c r="O5" s="34" t="s">
        <v>23</v>
      </c>
      <c r="P5" s="33" t="s">
        <v>24</v>
      </c>
      <c r="Q5" s="34" t="s">
        <v>25</v>
      </c>
      <c r="R5" s="34" t="s">
        <v>26</v>
      </c>
      <c r="S5" s="34"/>
      <c r="T5" s="48"/>
      <c r="U5" s="48"/>
      <c r="V5" s="19" t="s">
        <v>27</v>
      </c>
      <c r="W5" s="48" t="s">
        <v>28</v>
      </c>
      <c r="X5" s="48" t="s">
        <v>29</v>
      </c>
      <c r="Y5" s="48"/>
    </row>
    <row r="6" s="25" customFormat="1" ht="35.1" customHeight="1" spans="1:25">
      <c r="A6" s="35">
        <v>1</v>
      </c>
      <c r="B6" s="36" t="s">
        <v>30</v>
      </c>
      <c r="C6" s="36" t="s">
        <v>31</v>
      </c>
      <c r="D6" s="37">
        <v>819.8</v>
      </c>
      <c r="E6" s="38">
        <v>0</v>
      </c>
      <c r="F6" s="38">
        <v>0</v>
      </c>
      <c r="G6" s="39">
        <f>D6-E6-F6</f>
        <v>819.8</v>
      </c>
      <c r="H6" s="37">
        <v>526.34</v>
      </c>
      <c r="I6" s="38">
        <v>0</v>
      </c>
      <c r="J6" s="38">
        <v>0</v>
      </c>
      <c r="K6" s="39">
        <f>H6-I6-J6</f>
        <v>526.34</v>
      </c>
      <c r="L6" s="38">
        <f>G6-K6</f>
        <v>293.46</v>
      </c>
      <c r="M6" s="38">
        <f>IF(G6&gt;=2000,(G6-2000)*2%+90,IF(G6&gt;=1000,(G6-1000)*4%+50,G6*5%))</f>
        <v>40.99</v>
      </c>
      <c r="N6" s="38">
        <f>L6*0.06</f>
        <v>17.6076</v>
      </c>
      <c r="O6" s="37">
        <v>8127.54</v>
      </c>
      <c r="P6" s="37">
        <v>275.07</v>
      </c>
      <c r="Q6" s="38">
        <f>+D6/O6</f>
        <v>0.100866928984662</v>
      </c>
      <c r="R6" s="38">
        <f>IF(AND(O6&gt;=5000,P6&gt;=1000,Q6&gt;5%),(D6-H6)*10%,0)</f>
        <v>0</v>
      </c>
      <c r="S6" s="49">
        <v>0</v>
      </c>
      <c r="T6" s="49">
        <v>58.5</v>
      </c>
      <c r="U6" s="37">
        <f>T6-V6</f>
        <v>0</v>
      </c>
      <c r="V6" s="49">
        <v>58.5</v>
      </c>
      <c r="W6" s="38">
        <v>0</v>
      </c>
      <c r="X6" s="38">
        <f>V6-W6</f>
        <v>58.5</v>
      </c>
      <c r="Y6" s="51"/>
    </row>
    <row r="7" s="25" customFormat="1" ht="35.1" customHeight="1" spans="1:25">
      <c r="A7" s="35">
        <v>2</v>
      </c>
      <c r="B7" s="36" t="s">
        <v>32</v>
      </c>
      <c r="C7" s="36" t="s">
        <v>33</v>
      </c>
      <c r="D7" s="37">
        <f>32045.839434</f>
        <v>32045.839434</v>
      </c>
      <c r="E7" s="38">
        <v>0</v>
      </c>
      <c r="F7" s="38">
        <v>0</v>
      </c>
      <c r="G7" s="39">
        <f t="shared" ref="G7:G16" si="0">D7-E7-F7</f>
        <v>32045.839434</v>
      </c>
      <c r="H7" s="37">
        <v>14055.387272</v>
      </c>
      <c r="I7" s="38">
        <v>0</v>
      </c>
      <c r="J7" s="38">
        <v>0</v>
      </c>
      <c r="K7" s="39">
        <f t="shared" ref="K7:K16" si="1">H7-I7-J7</f>
        <v>14055.387272</v>
      </c>
      <c r="L7" s="38">
        <f t="shared" ref="L7:L16" si="2">G7-K7</f>
        <v>17990.452162</v>
      </c>
      <c r="M7" s="38">
        <f>IF(G7&gt;=2000,(G7-2000)*2%+90,IF(G7&gt;=1000,(G7-1000)*4%+50,G7*5%))</f>
        <v>690.91678868</v>
      </c>
      <c r="N7" s="38">
        <f t="shared" ref="N7:N16" si="3">L7*0.06</f>
        <v>1079.42712972</v>
      </c>
      <c r="O7" s="37">
        <v>1411035.975</v>
      </c>
      <c r="P7" s="37">
        <v>35685.142105</v>
      </c>
      <c r="Q7" s="38">
        <f t="shared" ref="Q7:Q16" si="4">+D7/O7</f>
        <v>0.022710859256441</v>
      </c>
      <c r="R7" s="38">
        <f t="shared" ref="R7:R14" si="5">IF(AND(O7&gt;=5000,P7&gt;=1000,Q7&gt;5%),(D7-H7)*10%,0)</f>
        <v>0</v>
      </c>
      <c r="S7" s="37">
        <v>0</v>
      </c>
      <c r="T7" s="37">
        <v>1770.34</v>
      </c>
      <c r="U7" s="37">
        <f>T7-V7</f>
        <v>1770.34</v>
      </c>
      <c r="V7" s="37">
        <v>0</v>
      </c>
      <c r="W7" s="38">
        <v>0</v>
      </c>
      <c r="X7" s="38">
        <f t="shared" ref="X7:X16" si="6">V7-W7</f>
        <v>0</v>
      </c>
      <c r="Y7" s="52" t="s">
        <v>34</v>
      </c>
    </row>
    <row r="8" s="25" customFormat="1" ht="35.1" customHeight="1" spans="1:25">
      <c r="A8" s="35">
        <v>3</v>
      </c>
      <c r="B8" s="40" t="s">
        <v>35</v>
      </c>
      <c r="C8" s="36" t="s">
        <v>36</v>
      </c>
      <c r="D8" s="38">
        <v>812.613186</v>
      </c>
      <c r="E8" s="38">
        <v>0</v>
      </c>
      <c r="F8" s="38">
        <v>0</v>
      </c>
      <c r="G8" s="39">
        <f t="shared" si="0"/>
        <v>812.613186</v>
      </c>
      <c r="H8" s="38">
        <v>0</v>
      </c>
      <c r="I8" s="38">
        <v>0</v>
      </c>
      <c r="J8" s="38">
        <v>0</v>
      </c>
      <c r="K8" s="39">
        <f t="shared" si="1"/>
        <v>0</v>
      </c>
      <c r="L8" s="38">
        <v>0</v>
      </c>
      <c r="M8" s="38">
        <f t="shared" ref="M8:M16" si="7">IF(G8&gt;=2000,(G8-2000)*2%+90,IF(G8&gt;=1000,(G8-1000)*4%+50,G8*5%))</f>
        <v>40.6306593</v>
      </c>
      <c r="N8" s="38">
        <v>0</v>
      </c>
      <c r="O8" s="38">
        <v>24958.102532</v>
      </c>
      <c r="P8" s="38">
        <v>2691.953182</v>
      </c>
      <c r="Q8" s="38">
        <f t="shared" si="4"/>
        <v>0.0325590931825891</v>
      </c>
      <c r="R8" s="38">
        <f t="shared" si="5"/>
        <v>0</v>
      </c>
      <c r="S8" s="38">
        <v>0</v>
      </c>
      <c r="T8" s="38">
        <v>40</v>
      </c>
      <c r="U8" s="37">
        <f t="shared" ref="U8:U16" si="8">T8-V8</f>
        <v>0</v>
      </c>
      <c r="V8" s="38">
        <v>40</v>
      </c>
      <c r="W8" s="38">
        <v>0</v>
      </c>
      <c r="X8" s="38">
        <f t="shared" si="6"/>
        <v>40</v>
      </c>
      <c r="Y8" s="51"/>
    </row>
    <row r="9" s="25" customFormat="1" ht="35.1" customHeight="1" spans="1:25">
      <c r="A9" s="35">
        <v>4</v>
      </c>
      <c r="B9" s="40" t="s">
        <v>37</v>
      </c>
      <c r="C9" s="36" t="s">
        <v>38</v>
      </c>
      <c r="D9" s="38">
        <v>119.7</v>
      </c>
      <c r="E9" s="38">
        <v>0</v>
      </c>
      <c r="F9" s="38">
        <v>0</v>
      </c>
      <c r="G9" s="39">
        <f t="shared" si="0"/>
        <v>119.7</v>
      </c>
      <c r="H9" s="38">
        <v>71.12</v>
      </c>
      <c r="I9" s="38">
        <v>0</v>
      </c>
      <c r="J9" s="38">
        <v>0</v>
      </c>
      <c r="K9" s="39">
        <f t="shared" si="1"/>
        <v>71.12</v>
      </c>
      <c r="L9" s="38">
        <f t="shared" si="2"/>
        <v>48.58</v>
      </c>
      <c r="M9" s="38">
        <f t="shared" si="7"/>
        <v>5.985</v>
      </c>
      <c r="N9" s="38">
        <f t="shared" si="3"/>
        <v>2.9148</v>
      </c>
      <c r="O9" s="38">
        <v>1825.092021</v>
      </c>
      <c r="P9" s="38">
        <v>5.647079</v>
      </c>
      <c r="Q9" s="38">
        <f t="shared" si="4"/>
        <v>0.0655857341014588</v>
      </c>
      <c r="R9" s="38">
        <f t="shared" si="5"/>
        <v>0</v>
      </c>
      <c r="S9" s="38">
        <v>0</v>
      </c>
      <c r="T9" s="38">
        <v>8.89</v>
      </c>
      <c r="U9" s="37">
        <f t="shared" si="8"/>
        <v>0</v>
      </c>
      <c r="V9" s="38">
        <v>8.89</v>
      </c>
      <c r="W9" s="38">
        <v>0</v>
      </c>
      <c r="X9" s="38">
        <f t="shared" si="6"/>
        <v>8.89</v>
      </c>
      <c r="Y9" s="51"/>
    </row>
    <row r="10" s="26" customFormat="1" ht="35.1" customHeight="1" spans="1:25">
      <c r="A10" s="41">
        <v>5</v>
      </c>
      <c r="B10" s="42" t="s">
        <v>39</v>
      </c>
      <c r="C10" s="36" t="s">
        <v>40</v>
      </c>
      <c r="D10" s="39">
        <v>705</v>
      </c>
      <c r="E10" s="39">
        <v>44.5</v>
      </c>
      <c r="F10" s="39">
        <v>0</v>
      </c>
      <c r="G10" s="39">
        <f t="shared" si="0"/>
        <v>660.5</v>
      </c>
      <c r="H10" s="39">
        <v>663.4</v>
      </c>
      <c r="I10" s="39">
        <v>5</v>
      </c>
      <c r="J10" s="39">
        <v>0</v>
      </c>
      <c r="K10" s="39">
        <f t="shared" si="1"/>
        <v>658.4</v>
      </c>
      <c r="L10" s="39">
        <f t="shared" si="2"/>
        <v>2.10000000000002</v>
      </c>
      <c r="M10" s="39">
        <f t="shared" si="7"/>
        <v>33.025</v>
      </c>
      <c r="N10" s="39">
        <f t="shared" si="3"/>
        <v>0.126000000000001</v>
      </c>
      <c r="O10" s="39">
        <v>42538.8</v>
      </c>
      <c r="P10" s="39">
        <v>0</v>
      </c>
      <c r="Q10" s="39">
        <f t="shared" si="4"/>
        <v>0.0165731050241192</v>
      </c>
      <c r="R10" s="39">
        <f t="shared" si="5"/>
        <v>0</v>
      </c>
      <c r="S10" s="39">
        <v>0</v>
      </c>
      <c r="T10" s="39">
        <v>33.15</v>
      </c>
      <c r="U10" s="37">
        <f t="shared" si="8"/>
        <v>0</v>
      </c>
      <c r="V10" s="39">
        <v>33.15</v>
      </c>
      <c r="W10" s="39">
        <v>0</v>
      </c>
      <c r="X10" s="38">
        <f t="shared" si="6"/>
        <v>33.15</v>
      </c>
      <c r="Y10" s="53"/>
    </row>
    <row r="11" s="26" customFormat="1" ht="35.1" customHeight="1" spans="1:25">
      <c r="A11" s="41">
        <v>6</v>
      </c>
      <c r="B11" s="42" t="s">
        <v>41</v>
      </c>
      <c r="C11" s="36" t="s">
        <v>42</v>
      </c>
      <c r="D11" s="39">
        <v>580.835975</v>
      </c>
      <c r="E11" s="39">
        <v>0</v>
      </c>
      <c r="F11" s="39">
        <v>0</v>
      </c>
      <c r="G11" s="39">
        <f t="shared" si="0"/>
        <v>580.835975</v>
      </c>
      <c r="H11" s="39">
        <v>0</v>
      </c>
      <c r="I11" s="39">
        <v>0</v>
      </c>
      <c r="J11" s="39">
        <v>0</v>
      </c>
      <c r="K11" s="39">
        <f t="shared" si="1"/>
        <v>0</v>
      </c>
      <c r="L11" s="39">
        <v>0</v>
      </c>
      <c r="M11" s="39">
        <f t="shared" si="7"/>
        <v>29.04179875</v>
      </c>
      <c r="N11" s="39">
        <v>0</v>
      </c>
      <c r="O11" s="39">
        <v>17243.186192</v>
      </c>
      <c r="P11" s="39">
        <v>1581.993563</v>
      </c>
      <c r="Q11" s="39">
        <f t="shared" si="4"/>
        <v>0.0336849563956735</v>
      </c>
      <c r="R11" s="39">
        <f t="shared" si="5"/>
        <v>0</v>
      </c>
      <c r="S11" s="39">
        <v>0</v>
      </c>
      <c r="T11" s="39">
        <v>29.04</v>
      </c>
      <c r="U11" s="37">
        <f t="shared" si="8"/>
        <v>0</v>
      </c>
      <c r="V11" s="39">
        <v>29.04</v>
      </c>
      <c r="W11" s="39">
        <v>0</v>
      </c>
      <c r="X11" s="38">
        <f t="shared" si="6"/>
        <v>29.04</v>
      </c>
      <c r="Y11" s="53"/>
    </row>
    <row r="12" s="26" customFormat="1" ht="35.1" customHeight="1" spans="1:25">
      <c r="A12" s="41">
        <v>7</v>
      </c>
      <c r="B12" s="42" t="s">
        <v>43</v>
      </c>
      <c r="C12" s="36" t="s">
        <v>44</v>
      </c>
      <c r="D12" s="39">
        <v>943.18</v>
      </c>
      <c r="E12" s="39">
        <v>0</v>
      </c>
      <c r="F12" s="39">
        <v>0</v>
      </c>
      <c r="G12" s="39">
        <f t="shared" si="0"/>
        <v>943.18</v>
      </c>
      <c r="H12" s="39">
        <v>648.23</v>
      </c>
      <c r="I12" s="39">
        <v>0</v>
      </c>
      <c r="J12" s="39">
        <v>0</v>
      </c>
      <c r="K12" s="39">
        <f t="shared" si="1"/>
        <v>648.23</v>
      </c>
      <c r="L12" s="39">
        <f t="shared" si="2"/>
        <v>294.95</v>
      </c>
      <c r="M12" s="39">
        <f t="shared" si="7"/>
        <v>47.159</v>
      </c>
      <c r="N12" s="39">
        <f t="shared" si="3"/>
        <v>17.697</v>
      </c>
      <c r="O12" s="39">
        <v>22020.54</v>
      </c>
      <c r="P12" s="39">
        <v>942.67</v>
      </c>
      <c r="Q12" s="39">
        <f t="shared" si="4"/>
        <v>0.0428318288289025</v>
      </c>
      <c r="R12" s="39">
        <f t="shared" si="5"/>
        <v>0</v>
      </c>
      <c r="S12" s="39">
        <v>0</v>
      </c>
      <c r="T12" s="39">
        <v>64.85</v>
      </c>
      <c r="U12" s="37">
        <f t="shared" si="8"/>
        <v>0</v>
      </c>
      <c r="V12" s="39">
        <v>64.85</v>
      </c>
      <c r="W12" s="39">
        <v>0</v>
      </c>
      <c r="X12" s="38">
        <f t="shared" si="6"/>
        <v>64.85</v>
      </c>
      <c r="Y12" s="53"/>
    </row>
    <row r="13" s="26" customFormat="1" ht="35.1" customHeight="1" spans="1:25">
      <c r="A13" s="41">
        <v>8</v>
      </c>
      <c r="B13" s="42" t="s">
        <v>45</v>
      </c>
      <c r="C13" s="36" t="s">
        <v>46</v>
      </c>
      <c r="D13" s="39">
        <f>717.72-509.41</f>
        <v>208.31</v>
      </c>
      <c r="E13" s="39">
        <v>0</v>
      </c>
      <c r="F13" s="39">
        <v>0</v>
      </c>
      <c r="G13" s="39">
        <f t="shared" si="0"/>
        <v>208.31</v>
      </c>
      <c r="H13" s="39">
        <v>0</v>
      </c>
      <c r="I13" s="39">
        <v>0</v>
      </c>
      <c r="J13" s="39">
        <v>0</v>
      </c>
      <c r="K13" s="39">
        <f t="shared" si="1"/>
        <v>0</v>
      </c>
      <c r="L13" s="39">
        <v>0</v>
      </c>
      <c r="M13" s="39">
        <f t="shared" si="7"/>
        <v>10.4155</v>
      </c>
      <c r="N13" s="39">
        <v>0</v>
      </c>
      <c r="O13" s="39">
        <v>5368.6</v>
      </c>
      <c r="P13" s="39">
        <v>79.83</v>
      </c>
      <c r="Q13" s="39">
        <f t="shared" si="4"/>
        <v>0.0388015497522632</v>
      </c>
      <c r="R13" s="39">
        <f t="shared" si="5"/>
        <v>0</v>
      </c>
      <c r="S13" s="39">
        <v>0</v>
      </c>
      <c r="T13" s="39">
        <v>35.85</v>
      </c>
      <c r="U13" s="37">
        <f t="shared" si="8"/>
        <v>25.43</v>
      </c>
      <c r="V13" s="39">
        <v>10.42</v>
      </c>
      <c r="W13" s="39">
        <v>0</v>
      </c>
      <c r="X13" s="38">
        <f t="shared" si="6"/>
        <v>10.42</v>
      </c>
      <c r="Y13" s="52" t="s">
        <v>47</v>
      </c>
    </row>
    <row r="14" s="26" customFormat="1" ht="35.1" customHeight="1" spans="1:25">
      <c r="A14" s="41">
        <v>9</v>
      </c>
      <c r="B14" s="42" t="s">
        <v>48</v>
      </c>
      <c r="C14" s="36" t="s">
        <v>49</v>
      </c>
      <c r="D14" s="39">
        <v>446.730471</v>
      </c>
      <c r="E14" s="39">
        <v>0</v>
      </c>
      <c r="F14" s="39">
        <v>0</v>
      </c>
      <c r="G14" s="39">
        <f t="shared" si="0"/>
        <v>446.730471</v>
      </c>
      <c r="H14" s="39">
        <v>315.976385</v>
      </c>
      <c r="I14" s="39">
        <v>0</v>
      </c>
      <c r="J14" s="39">
        <v>0</v>
      </c>
      <c r="K14" s="39">
        <f t="shared" si="1"/>
        <v>315.976385</v>
      </c>
      <c r="L14" s="39">
        <f t="shared" si="2"/>
        <v>130.754086</v>
      </c>
      <c r="M14" s="39">
        <f t="shared" si="7"/>
        <v>22.33652355</v>
      </c>
      <c r="N14" s="39">
        <f t="shared" si="3"/>
        <v>7.84524516</v>
      </c>
      <c r="O14" s="39">
        <v>10188.168885</v>
      </c>
      <c r="P14" s="39">
        <v>58.2181</v>
      </c>
      <c r="Q14" s="39">
        <f t="shared" si="4"/>
        <v>0.0438479648347525</v>
      </c>
      <c r="R14" s="39">
        <f t="shared" si="5"/>
        <v>0</v>
      </c>
      <c r="S14" s="39">
        <v>0</v>
      </c>
      <c r="T14" s="39">
        <v>30.18</v>
      </c>
      <c r="U14" s="37">
        <f t="shared" si="8"/>
        <v>0</v>
      </c>
      <c r="V14" s="39">
        <v>30.18</v>
      </c>
      <c r="W14" s="39">
        <v>0</v>
      </c>
      <c r="X14" s="38">
        <f t="shared" si="6"/>
        <v>30.18</v>
      </c>
      <c r="Y14" s="53"/>
    </row>
    <row r="15" s="26" customFormat="1" ht="35.1" customHeight="1" spans="1:25">
      <c r="A15" s="41">
        <v>10</v>
      </c>
      <c r="B15" s="42" t="s">
        <v>50</v>
      </c>
      <c r="C15" s="36" t="s">
        <v>51</v>
      </c>
      <c r="D15" s="39">
        <f>30318.75-3297.14</f>
        <v>27021.61</v>
      </c>
      <c r="E15" s="39">
        <v>-333.54</v>
      </c>
      <c r="F15" s="39">
        <v>84</v>
      </c>
      <c r="G15" s="39">
        <f t="shared" si="0"/>
        <v>27271.15</v>
      </c>
      <c r="H15" s="39">
        <v>35806.06</v>
      </c>
      <c r="I15" s="39">
        <v>0</v>
      </c>
      <c r="J15" s="39">
        <v>0</v>
      </c>
      <c r="K15" s="39">
        <f t="shared" si="1"/>
        <v>35806.06</v>
      </c>
      <c r="L15" s="39"/>
      <c r="M15" s="39">
        <f t="shared" si="7"/>
        <v>595.423</v>
      </c>
      <c r="N15" s="39">
        <v>0</v>
      </c>
      <c r="O15" s="39">
        <v>1034522.9</v>
      </c>
      <c r="P15" s="39">
        <v>3962.22</v>
      </c>
      <c r="Q15" s="39">
        <f t="shared" si="4"/>
        <v>0.0261198761284066</v>
      </c>
      <c r="R15" s="39">
        <f t="shared" ref="R15:R16" si="9">IF(AND(O15&gt;=5000,P15&gt;=1000,Q15&gt;5%),L15*10%,0)</f>
        <v>0</v>
      </c>
      <c r="S15" s="39">
        <v>0</v>
      </c>
      <c r="T15" s="39">
        <v>661.36</v>
      </c>
      <c r="U15" s="37">
        <f t="shared" si="8"/>
        <v>65.9400000000001</v>
      </c>
      <c r="V15" s="39">
        <v>595.42</v>
      </c>
      <c r="W15" s="39">
        <v>306.44</v>
      </c>
      <c r="X15" s="38">
        <f t="shared" si="6"/>
        <v>288.98</v>
      </c>
      <c r="Y15" s="52" t="s">
        <v>52</v>
      </c>
    </row>
    <row r="16" s="26" customFormat="1" ht="35.1" customHeight="1" spans="1:25">
      <c r="A16" s="41">
        <v>11</v>
      </c>
      <c r="B16" s="42" t="s">
        <v>53</v>
      </c>
      <c r="C16" s="43" t="s">
        <v>54</v>
      </c>
      <c r="D16" s="39">
        <v>398.625988</v>
      </c>
      <c r="E16" s="39">
        <v>0</v>
      </c>
      <c r="F16" s="39">
        <v>0</v>
      </c>
      <c r="G16" s="39">
        <f t="shared" si="0"/>
        <v>398.625988</v>
      </c>
      <c r="H16" s="39">
        <v>28.788457</v>
      </c>
      <c r="I16" s="39">
        <v>0</v>
      </c>
      <c r="J16" s="39">
        <v>0</v>
      </c>
      <c r="K16" s="39">
        <f t="shared" si="1"/>
        <v>28.788457</v>
      </c>
      <c r="L16" s="39">
        <f t="shared" si="2"/>
        <v>369.837531</v>
      </c>
      <c r="M16" s="39">
        <f t="shared" si="7"/>
        <v>19.9312994</v>
      </c>
      <c r="N16" s="39">
        <f t="shared" si="3"/>
        <v>22.19025186</v>
      </c>
      <c r="O16" s="39">
        <v>7570.779079</v>
      </c>
      <c r="P16" s="39">
        <v>346.150241</v>
      </c>
      <c r="Q16" s="39">
        <f t="shared" si="4"/>
        <v>0.0526532320967756</v>
      </c>
      <c r="R16" s="39">
        <f t="shared" si="9"/>
        <v>0</v>
      </c>
      <c r="S16" s="39">
        <v>0</v>
      </c>
      <c r="T16" s="39">
        <v>42.12</v>
      </c>
      <c r="U16" s="37">
        <f t="shared" si="8"/>
        <v>0</v>
      </c>
      <c r="V16" s="39">
        <v>42.12</v>
      </c>
      <c r="W16" s="39">
        <v>0</v>
      </c>
      <c r="X16" s="38">
        <f t="shared" si="6"/>
        <v>42.12</v>
      </c>
      <c r="Y16" s="53"/>
    </row>
    <row r="17" s="27" customFormat="1" ht="35.1" customHeight="1" spans="1:25">
      <c r="A17" s="44" t="s">
        <v>55</v>
      </c>
      <c r="B17" s="44"/>
      <c r="C17" s="44"/>
      <c r="D17" s="39">
        <f>SUM(D6:D16)</f>
        <v>64102.245054</v>
      </c>
      <c r="E17" s="39">
        <f t="shared" ref="E17:X17" si="10">SUM(E6:E16)</f>
        <v>-289.04</v>
      </c>
      <c r="F17" s="39">
        <f t="shared" si="10"/>
        <v>84</v>
      </c>
      <c r="G17" s="39">
        <f t="shared" si="10"/>
        <v>64307.285054</v>
      </c>
      <c r="H17" s="39">
        <f t="shared" si="10"/>
        <v>52115.302114</v>
      </c>
      <c r="I17" s="39">
        <f t="shared" si="10"/>
        <v>5</v>
      </c>
      <c r="J17" s="39">
        <f t="shared" si="10"/>
        <v>0</v>
      </c>
      <c r="K17" s="39">
        <f t="shared" si="10"/>
        <v>52110.302114</v>
      </c>
      <c r="L17" s="39">
        <f t="shared" si="10"/>
        <v>19130.133779</v>
      </c>
      <c r="M17" s="39">
        <f t="shared" si="10"/>
        <v>1535.85456968</v>
      </c>
      <c r="N17" s="39">
        <f t="shared" si="10"/>
        <v>1147.80802674</v>
      </c>
      <c r="O17" s="39">
        <f t="shared" si="10"/>
        <v>2585399.683709</v>
      </c>
      <c r="P17" s="39">
        <f t="shared" si="10"/>
        <v>45628.89427</v>
      </c>
      <c r="Q17" s="39">
        <f t="shared" si="10"/>
        <v>0.476235128586044</v>
      </c>
      <c r="R17" s="39">
        <f t="shared" si="10"/>
        <v>0</v>
      </c>
      <c r="S17" s="39">
        <f t="shared" si="10"/>
        <v>0</v>
      </c>
      <c r="T17" s="39">
        <f t="shared" si="10"/>
        <v>2774.28</v>
      </c>
      <c r="U17" s="39">
        <f t="shared" si="10"/>
        <v>1861.71</v>
      </c>
      <c r="V17" s="39">
        <f t="shared" si="10"/>
        <v>912.57</v>
      </c>
      <c r="W17" s="39">
        <f t="shared" si="10"/>
        <v>306.44</v>
      </c>
      <c r="X17" s="39">
        <f t="shared" si="10"/>
        <v>606.13</v>
      </c>
      <c r="Y17" s="54"/>
    </row>
    <row r="18" s="27" customFormat="1" spans="1:25">
      <c r="A18" s="45"/>
      <c r="D18" s="26"/>
      <c r="E18" s="26"/>
      <c r="F18" s="26"/>
      <c r="G18" s="26"/>
      <c r="H18" s="26"/>
      <c r="I18" s="26"/>
      <c r="J18" s="26"/>
      <c r="K18" s="26"/>
      <c r="M18" s="26"/>
      <c r="N18" s="26"/>
      <c r="O18" s="26"/>
      <c r="P18" s="26"/>
      <c r="Q18" s="50"/>
      <c r="R18" s="26"/>
      <c r="S18" s="26"/>
      <c r="T18" s="26"/>
      <c r="U18" s="26"/>
      <c r="V18" s="26"/>
      <c r="W18" s="26"/>
      <c r="X18" s="26"/>
      <c r="Y18" s="26"/>
    </row>
    <row r="19" s="27" customFormat="1" spans="1:25">
      <c r="A19" s="45"/>
      <c r="D19" s="26"/>
      <c r="E19" s="26"/>
      <c r="F19" s="26"/>
      <c r="G19" s="26"/>
      <c r="H19" s="26"/>
      <c r="I19" s="26"/>
      <c r="J19" s="26"/>
      <c r="K19" s="26"/>
      <c r="M19" s="26"/>
      <c r="N19" s="26"/>
      <c r="O19" s="26"/>
      <c r="P19" s="26"/>
      <c r="Q19" s="50"/>
      <c r="R19" s="26"/>
      <c r="S19" s="26"/>
      <c r="T19" s="26"/>
      <c r="U19" s="26"/>
      <c r="V19" s="26"/>
      <c r="W19" s="26"/>
      <c r="X19" s="26"/>
      <c r="Y19" s="26"/>
    </row>
    <row r="20" s="27" customFormat="1" spans="1:25">
      <c r="A20" s="45"/>
      <c r="D20" s="26"/>
      <c r="E20" s="26"/>
      <c r="F20" s="26"/>
      <c r="G20" s="26"/>
      <c r="H20" s="26"/>
      <c r="I20" s="26"/>
      <c r="J20" s="26"/>
      <c r="K20" s="26"/>
      <c r="M20" s="26"/>
      <c r="N20" s="26"/>
      <c r="O20" s="26"/>
      <c r="P20" s="26"/>
      <c r="Q20" s="50"/>
      <c r="R20" s="26"/>
      <c r="S20" s="26"/>
      <c r="T20" s="26"/>
      <c r="U20" s="26"/>
      <c r="V20" s="26"/>
      <c r="W20" s="26"/>
      <c r="X20" s="26"/>
      <c r="Y20" s="26"/>
    </row>
  </sheetData>
  <mergeCells count="18">
    <mergeCell ref="A1:B1"/>
    <mergeCell ref="A2:Y2"/>
    <mergeCell ref="A3:W3"/>
    <mergeCell ref="X3:Y3"/>
    <mergeCell ref="D4:G4"/>
    <mergeCell ref="H4:K4"/>
    <mergeCell ref="V4:X4"/>
    <mergeCell ref="A17:C17"/>
    <mergeCell ref="A4:A5"/>
    <mergeCell ref="B4:B5"/>
    <mergeCell ref="C4:C5"/>
    <mergeCell ref="L4:L5"/>
    <mergeCell ref="M4:M5"/>
    <mergeCell ref="N4:N5"/>
    <mergeCell ref="S4:S5"/>
    <mergeCell ref="T4:T5"/>
    <mergeCell ref="U4:U5"/>
    <mergeCell ref="Y4:Y5"/>
  </mergeCells>
  <printOptions horizontalCentered="1"/>
  <pageMargins left="0.15748031496063" right="0.15748031496063" top="0.590551181102362" bottom="0.511811023622047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M3" sqref="M3:M4"/>
    </sheetView>
  </sheetViews>
  <sheetFormatPr defaultColWidth="9" defaultRowHeight="13.5" outlineLevelRow="5"/>
  <cols>
    <col min="1" max="1" width="6.5" style="2" customWidth="1"/>
    <col min="2" max="2" width="23.25" style="2" customWidth="1"/>
    <col min="3" max="3" width="20.375" style="2" customWidth="1"/>
    <col min="4" max="4" width="9.75" style="2" customWidth="1"/>
    <col min="5" max="5" width="11.75" style="2" customWidth="1"/>
    <col min="6" max="6" width="11.25" style="2" customWidth="1"/>
    <col min="7" max="7" width="11.5" style="2" hidden="1" customWidth="1"/>
    <col min="8" max="8" width="10.5" style="2" hidden="1" customWidth="1"/>
    <col min="9" max="9" width="9.5" style="2" hidden="1" customWidth="1"/>
    <col min="10" max="10" width="9.5" style="2" customWidth="1"/>
    <col min="11" max="11" width="7.5" style="2" customWidth="1"/>
    <col min="12" max="12" width="9.5" style="2" customWidth="1"/>
    <col min="13" max="13" width="29.375" style="2" customWidth="1"/>
    <col min="14" max="16384" width="9" style="2"/>
  </cols>
  <sheetData>
    <row r="1" ht="29.25" customHeight="1" spans="1:13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6.15" customHeight="1" spans="1:13">
      <c r="A2" s="1" t="s">
        <v>2</v>
      </c>
      <c r="L2" s="17" t="s">
        <v>3</v>
      </c>
      <c r="M2" s="17"/>
    </row>
    <row r="3" customHeight="1" spans="1:13">
      <c r="A3" s="4" t="s">
        <v>4</v>
      </c>
      <c r="B3" s="4" t="s">
        <v>5</v>
      </c>
      <c r="C3" s="5" t="s">
        <v>6</v>
      </c>
      <c r="D3" s="6" t="s">
        <v>7</v>
      </c>
      <c r="E3" s="7"/>
      <c r="F3" s="7"/>
      <c r="G3" s="8"/>
      <c r="H3" s="4" t="s">
        <v>57</v>
      </c>
      <c r="I3" s="18" t="s">
        <v>58</v>
      </c>
      <c r="J3" s="19" t="s">
        <v>59</v>
      </c>
      <c r="K3" s="19" t="s">
        <v>60</v>
      </c>
      <c r="L3" s="20" t="s">
        <v>61</v>
      </c>
      <c r="M3" s="21" t="s">
        <v>17</v>
      </c>
    </row>
    <row r="4" ht="66" customHeight="1" spans="1:13">
      <c r="A4" s="4"/>
      <c r="B4" s="4"/>
      <c r="C4" s="9"/>
      <c r="D4" s="10" t="s">
        <v>18</v>
      </c>
      <c r="E4" s="10" t="s">
        <v>19</v>
      </c>
      <c r="F4" s="10" t="s">
        <v>20</v>
      </c>
      <c r="G4" s="11" t="s">
        <v>21</v>
      </c>
      <c r="H4" s="10" t="s">
        <v>62</v>
      </c>
      <c r="I4" s="18"/>
      <c r="J4" s="19"/>
      <c r="K4" s="19"/>
      <c r="L4" s="22"/>
      <c r="M4" s="21"/>
    </row>
    <row r="5" ht="31.15" customHeight="1" spans="1:13">
      <c r="A5" s="12">
        <v>1</v>
      </c>
      <c r="B5" s="13" t="s">
        <v>50</v>
      </c>
      <c r="C5" s="14" t="s">
        <v>51</v>
      </c>
      <c r="D5" s="15">
        <f>30318.75-3297.14</f>
        <v>27021.61</v>
      </c>
      <c r="E5" s="15">
        <v>-333.54</v>
      </c>
      <c r="F5" s="15">
        <v>84</v>
      </c>
      <c r="G5" s="16">
        <f>D5-E5-F5</f>
        <v>27271.15</v>
      </c>
      <c r="H5" s="15">
        <v>20966</v>
      </c>
      <c r="I5" s="15">
        <f>IF(G5&gt;=2000,(G5-2000)*2%+90,IF(G5&gt;=1000,(G5-1000)*4%+50,G5*5%))</f>
        <v>595.423</v>
      </c>
      <c r="J5" s="15">
        <v>264.55</v>
      </c>
      <c r="K5" s="15">
        <f>J5-L5</f>
        <v>26.3808</v>
      </c>
      <c r="L5" s="15">
        <f>I5*0.4</f>
        <v>238.1692</v>
      </c>
      <c r="M5" s="23" t="s">
        <v>52</v>
      </c>
    </row>
    <row r="6" ht="30.75" customHeight="1" spans="1:13">
      <c r="A6" s="12" t="s">
        <v>55</v>
      </c>
      <c r="B6" s="12"/>
      <c r="C6" s="12"/>
      <c r="D6" s="15">
        <f>SUM(D5)</f>
        <v>27021.61</v>
      </c>
      <c r="E6" s="15">
        <f t="shared" ref="E6:L6" si="0">SUM(E5)</f>
        <v>-333.54</v>
      </c>
      <c r="F6" s="15">
        <f t="shared" si="0"/>
        <v>84</v>
      </c>
      <c r="G6" s="15">
        <f t="shared" si="0"/>
        <v>27271.15</v>
      </c>
      <c r="H6" s="15">
        <f t="shared" si="0"/>
        <v>20966</v>
      </c>
      <c r="I6" s="15">
        <f t="shared" si="0"/>
        <v>595.423</v>
      </c>
      <c r="J6" s="15">
        <f t="shared" si="0"/>
        <v>264.55</v>
      </c>
      <c r="K6" s="15">
        <f t="shared" si="0"/>
        <v>26.3808</v>
      </c>
      <c r="L6" s="15">
        <f t="shared" si="0"/>
        <v>238.1692</v>
      </c>
      <c r="M6" s="24"/>
    </row>
  </sheetData>
  <mergeCells count="12">
    <mergeCell ref="A1:M1"/>
    <mergeCell ref="L2:M2"/>
    <mergeCell ref="D3:G3"/>
    <mergeCell ref="A6:C6"/>
    <mergeCell ref="A3:A4"/>
    <mergeCell ref="B3:B4"/>
    <mergeCell ref="C3:C4"/>
    <mergeCell ref="I3:I4"/>
    <mergeCell ref="J3:J4"/>
    <mergeCell ref="K3:K4"/>
    <mergeCell ref="L3:L4"/>
    <mergeCell ref="M3:M4"/>
  </mergeCells>
  <printOptions horizontalCentered="1"/>
  <pageMargins left="0.354330708661417" right="0.27559055118110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2018年度补助</vt:lpstr>
      <vt:lpstr>2019年度预补助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海湾女孩</cp:lastModifiedBy>
  <dcterms:created xsi:type="dcterms:W3CDTF">2019-11-04T07:09:00Z</dcterms:created>
  <cp:lastPrinted>2019-12-02T06:51:00Z</cp:lastPrinted>
  <dcterms:modified xsi:type="dcterms:W3CDTF">2019-12-03T06:59:13Z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